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Twin" sheetId="2" state="visible" r:id="rId4"/>
    <sheet name="GEOP_Recall" sheetId="3" state="visible" r:id="rId5"/>
    <sheet name="Readiness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<sst xmlns="http://schemas.openxmlformats.org/spreadsheetml/2006/main" count="83" uniqueCount="73">
  <si>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DCT Laboratory — Vol I, Ch 16: Synthesis and Transition to Volume II</t>
  </si>
  <si>
    <t xml:space="preserve">Seed 26116 · Companion to DCT_V1_Ch16_Lab.ipynb and AXIOM-16 · The Volume I capstone.</t>
  </si>
  <si>
    <t xml:space="preserve">One integrated run: the GEOP allocation recalled (Ch. 15 formulas), the unified dynamics under the</t>
  </si>
  <si>
    <t xml:space="preserve">invariant gate (Chs. 13-14), the digital twin vs the actual enterprise with a drift monitor, and the</t>
  </si>
  <si>
    <t xml:space="preserve">Optimization Readiness Theorem scored as four computed conditions.</t>
  </si>
  <si>
    <t xml:space="preserve">LEGEND — pale-gold cells are inputs; actuals' noise is frozen from seed 26116 for reproducibility.</t>
  </si>
  <si>
    <t xml:space="preserve">k</t>
  </si>
  <si>
    <t xml:space="preserve">twin K</t>
  </si>
  <si>
    <t xml:space="preserve">twin p</t>
  </si>
  <si>
    <t xml:space="preserve">noise</t>
  </si>
  <si>
    <t xml:space="preserve">actual K</t>
  </si>
  <si>
    <t xml:space="preserve">actual p</t>
  </si>
  <si>
    <t xml:space="preserve">|p gap|</t>
  </si>
  <si>
    <t xml:space="preserve">flag</t>
  </si>
  <si>
    <t xml:space="preserve">gap^2</t>
  </si>
  <si>
    <t xml:space="preserve">params</t>
  </si>
  <si>
    <t xml:space="preserve">aKK</t>
  </si>
  <si>
    <t xml:space="preserve">aKp</t>
  </si>
  <si>
    <t xml:space="preserve">bK</t>
  </si>
  <si>
    <t xml:space="preserve">g</t>
  </si>
  <si>
    <t xml:space="preserve">app</t>
  </si>
  <si>
    <t xml:space="preserve">bp</t>
  </si>
  <si>
    <t xml:space="preserve">floor</t>
  </si>
  <si>
    <t xml:space="preserve">tol</t>
  </si>
  <si>
    <t xml:space="preserve">rho</t>
  </si>
  <si>
    <t xml:space="preserve">min K (twin)</t>
  </si>
  <si>
    <t xml:space="preserve">invariant violations</t>
  </si>
  <si>
    <t xml:space="preserve">twin RMSE</t>
  </si>
  <si>
    <t xml:space="preserve">max |gap|</t>
  </si>
  <si>
    <t xml:space="preserve">drift quarter</t>
  </si>
  <si>
    <t xml:space="preserve">Quantity</t>
  </si>
  <si>
    <t xml:space="preserve">F</t>
  </si>
  <si>
    <t xml:space="preserve">H</t>
  </si>
  <si>
    <t xml:space="preserve">T</t>
  </si>
  <si>
    <t xml:space="preserve">K0</t>
  </si>
  <si>
    <t xml:space="preserve">delta</t>
  </si>
  <si>
    <t xml:space="preserve">alpha</t>
  </si>
  <si>
    <t xml:space="preserve">budget / TFP</t>
  </si>
  <si>
    <t xml:space="preserve">BASE</t>
  </si>
  <si>
    <t xml:space="preserve">S2 / K'H / K'T</t>
  </si>
  <si>
    <t xml:space="preserve">Y* recalled</t>
  </si>
  <si>
    <t xml:space="preserve">marginal ratio</t>
  </si>
  <si>
    <t xml:space="preserve">Condition (Optimization Readiness Theorem)</t>
  </si>
  <si>
    <t xml:space="preserve">Value</t>
  </si>
  <si>
    <t xml:space="preserve">Ready?</t>
  </si>
  <si>
    <t xml:space="preserve">dynamics certified: rho &lt; 1 (Ch. 14)</t>
  </si>
  <si>
    <t xml:space="preserve">invariant held: min K &gt;= floor (Ch. 13)</t>
  </si>
  <si>
    <t xml:space="preserve">objective declared: SUM(alpha) = 1 (Ch. 11)</t>
  </si>
  <si>
    <t xml:space="preserve">optimality verified: marginal ratio = 1 (Ch. 15)</t>
  </si>
  <si>
    <t xml:space="preserve">READINESS SCORE</t>
  </si>
  <si>
    <t xml:space="preserve">Checkpoint</t>
  </si>
  <si>
    <t xml:space="preserve">Engine value</t>
  </si>
  <si>
    <t xml:space="preserve">Meaning</t>
  </si>
  <si>
    <t xml:space="preserve">Y_star_recall</t>
  </si>
  <si>
    <t xml:space="preserve">Ch. 15's optimum, re-verified</t>
  </si>
  <si>
    <t xml:space="preserve">rho_integrated</t>
  </si>
  <si>
    <t xml:space="preserve">Ch. 14's certificate, recalled</t>
  </si>
  <si>
    <t xml:space="preserve">minK_16</t>
  </si>
  <si>
    <t xml:space="preserve">The invariant's margin</t>
  </si>
  <si>
    <t xml:space="preserve">invariant_violations</t>
  </si>
  <si>
    <t xml:space="preserve">The gate stayed green</t>
  </si>
  <si>
    <t xml:space="preserve">twin_rmse</t>
  </si>
  <si>
    <t xml:space="preserve">Twin fidelity over 16 quarters</t>
  </si>
  <si>
    <t xml:space="preserve">drift_quarter</t>
  </si>
  <si>
    <t xml:space="preserve">When the monitor fires</t>
  </si>
  <si>
    <t xml:space="preserve">max_abs_gap</t>
  </si>
  <si>
    <t xml:space="preserve">Worst twin-actual divergence</t>
  </si>
  <si>
    <t xml:space="preserve">readiness_score</t>
  </si>
  <si>
    <t xml:space="preserve">4 of 4: proceed to Volume II</t>
  </si>
  <si>
    <t xml:space="preserve">Workbook formula value</t>
  </si>
  <si>
    <t xml:space="preserve">|diff|</t>
  </si>
  <si>
    <t xml:space="preserve">Status</t>
  </si>
  <si>
    <t xml:space="preserve">All rows must read PASS. Volume I complete at seed 26116.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</si>
</sst>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3" t="s">
        <v>4</v>
      </c>
    </row>
    <row r="7" customFormat="false" ht="15" hidden="false" customHeight="true" outlineLevel="0" collapsed="false">
      <c r="B7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1" min="11" style="0" width="16"/>
    <col collapsed="false" customWidth="true" hidden="false" outlineLevel="0" max="12" min="12" style="0" width="12"/>
  </cols>
  <sheetData>
    <row r="1" customFormat="false" ht="15" hidden="false" customHeight="false" outlineLevel="0" collapsed="false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K1" s="5" t="s">
        <v>15</v>
      </c>
    </row>
    <row r="2" customFormat="false" ht="15" hidden="false" customHeight="false" outlineLevel="0" collapsed="false">
      <c r="A2" s="6" t="n">
        <v>0</v>
      </c>
      <c r="B2" s="7" t="n">
        <v>40</v>
      </c>
      <c r="C2" s="7" t="n">
        <v>50</v>
      </c>
      <c r="D2" s="8"/>
      <c r="E2" s="8" t="n">
        <f aca="false">B2</f>
        <v>40</v>
      </c>
      <c r="F2" s="8" t="n">
        <f aca="false">C2</f>
        <v>50</v>
      </c>
      <c r="G2" s="8"/>
      <c r="H2" s="6"/>
      <c r="I2" s="8"/>
      <c r="K2" s="6" t="s">
        <v>16</v>
      </c>
      <c r="L2" s="9" t="n">
        <v>0.9</v>
      </c>
    </row>
    <row r="3" customFormat="false" ht="15" hidden="false" customHeight="false" outlineLevel="0" collapsed="false">
      <c r="A3" s="6" t="n">
        <v>1</v>
      </c>
      <c r="B3" s="8" t="n">
        <f aca="false">$L$2*B2+$L$3*C2+$L$4</f>
        <v>50</v>
      </c>
      <c r="C3" s="8" t="n">
        <f aca="false">$L$5*B2+$L$6*C2+$L$7</f>
        <v>44.4</v>
      </c>
      <c r="D3" s="7" t="n">
        <v>1.1735</v>
      </c>
      <c r="E3" s="8" t="n">
        <f aca="false">$L$2*E2+$L$3*F2+$L$4</f>
        <v>50</v>
      </c>
      <c r="F3" s="8" t="n">
        <f aca="false">$L$5*E2+$L$6*F2+$L$7+D3</f>
        <v>45.5735</v>
      </c>
      <c r="G3" s="8" t="n">
        <f aca="false">ABS(F3-C3)</f>
        <v>1.1735</v>
      </c>
      <c r="H3" s="6" t="n">
        <f aca="false">IF(G3&gt;$L$9,1,0)</f>
        <v>0</v>
      </c>
      <c r="I3" s="8" t="n">
        <f aca="false">G3^2</f>
        <v>1.37710224999999</v>
      </c>
      <c r="K3" s="6" t="s">
        <v>17</v>
      </c>
      <c r="L3" s="9" t="n">
        <v>0.2</v>
      </c>
    </row>
    <row r="4" customFormat="false" ht="15" hidden="false" customHeight="false" outlineLevel="0" collapsed="false">
      <c r="A4" s="6" t="n">
        <v>2</v>
      </c>
      <c r="B4" s="8" t="n">
        <f aca="false">$L$2*B3+$L$3*C3+$L$4</f>
        <v>57.88</v>
      </c>
      <c r="C4" s="8" t="n">
        <f aca="false">$L$5*B3+$L$6*C3+$L$7</f>
        <v>40.52</v>
      </c>
      <c r="D4" s="7" t="n">
        <v>-2.1226</v>
      </c>
      <c r="E4" s="8" t="n">
        <f aca="false">$L$2*E3+$L$3*F3+$L$4</f>
        <v>58.1147</v>
      </c>
      <c r="F4" s="8" t="n">
        <f aca="false">$L$5*E3+$L$6*F3+$L$7+D4</f>
        <v>39.3362</v>
      </c>
      <c r="G4" s="8" t="n">
        <f aca="false">ABS(F4-C4)</f>
        <v>1.18380000000001</v>
      </c>
      <c r="H4" s="6" t="n">
        <f aca="false">IF(G4&gt;$L$9,1,0)</f>
        <v>0</v>
      </c>
      <c r="I4" s="8" t="n">
        <f aca="false">G4^2</f>
        <v>1.40138244000001</v>
      </c>
      <c r="K4" s="6" t="s">
        <v>18</v>
      </c>
      <c r="L4" s="9" t="n">
        <v>4</v>
      </c>
    </row>
    <row r="5" customFormat="false" ht="15" hidden="false" customHeight="false" outlineLevel="0" collapsed="false">
      <c r="A5" s="6" t="n">
        <v>3</v>
      </c>
      <c r="B5" s="8" t="n">
        <f aca="false">$L$2*B4+$L$3*C4+$L$4</f>
        <v>64.196</v>
      </c>
      <c r="C5" s="8" t="n">
        <f aca="false">$L$5*B4+$L$6*C4+$L$7</f>
        <v>37.8888</v>
      </c>
      <c r="D5" s="7" t="n">
        <v>2.1835</v>
      </c>
      <c r="E5" s="8" t="n">
        <f aca="false">$L$2*E4+$L$3*F4+$L$4</f>
        <v>64.17047</v>
      </c>
      <c r="F5" s="8" t="n">
        <f aca="false">$L$5*E4+$L$6*F4+$L$7+D5</f>
        <v>39.139342</v>
      </c>
      <c r="G5" s="8" t="n">
        <f aca="false">ABS(F5-C5)</f>
        <v>1.250542</v>
      </c>
      <c r="H5" s="6" t="n">
        <f aca="false">IF(G5&gt;$L$9,1,0)</f>
        <v>0</v>
      </c>
      <c r="I5" s="8" t="n">
        <f aca="false">G5^2</f>
        <v>1.56385529376399</v>
      </c>
      <c r="K5" s="6" t="s">
        <v>19</v>
      </c>
      <c r="L5" s="9" t="n">
        <v>0.06</v>
      </c>
    </row>
    <row r="6" customFormat="false" ht="15" hidden="false" customHeight="false" outlineLevel="0" collapsed="false">
      <c r="A6" s="6" t="n">
        <v>4</v>
      </c>
      <c r="B6" s="8" t="n">
        <f aca="false">$L$2*B5+$L$3*C5+$L$4</f>
        <v>69.35416</v>
      </c>
      <c r="C6" s="8" t="n">
        <f aca="false">$L$5*B5+$L$6*C5+$L$7</f>
        <v>36.1628</v>
      </c>
      <c r="D6" s="7" t="n">
        <v>-0.1833</v>
      </c>
      <c r="E6" s="8" t="n">
        <f aca="false">$L$2*E5+$L$3*F5+$L$4</f>
        <v>69.5812914</v>
      </c>
      <c r="F6" s="8" t="n">
        <f aca="false">$L$5*E5+$L$6*F5+$L$7+D6</f>
        <v>36.9784018</v>
      </c>
      <c r="G6" s="8" t="n">
        <f aca="false">ABS(F6-C6)</f>
        <v>0.815601799999989</v>
      </c>
      <c r="H6" s="6" t="n">
        <f aca="false">IF(G6&gt;$L$9,1,0)</f>
        <v>0</v>
      </c>
      <c r="I6" s="8" t="n">
        <f aca="false">G6^2</f>
        <v>0.665206296163222</v>
      </c>
      <c r="K6" s="6" t="s">
        <v>20</v>
      </c>
      <c r="L6" s="9" t="n">
        <v>0.8</v>
      </c>
    </row>
    <row r="7" customFormat="false" ht="15" hidden="false" customHeight="false" outlineLevel="0" collapsed="false">
      <c r="A7" s="6" t="n">
        <v>5</v>
      </c>
      <c r="B7" s="8" t="n">
        <f aca="false">$L$2*B6+$L$3*C6+$L$4</f>
        <v>73.651304</v>
      </c>
      <c r="C7" s="8" t="n">
        <f aca="false">$L$5*B6+$L$6*C6+$L$7</f>
        <v>35.0914896</v>
      </c>
      <c r="D7" s="7" t="n">
        <v>-2.0614</v>
      </c>
      <c r="E7" s="8" t="n">
        <f aca="false">$L$2*E6+$L$3*F6+$L$4</f>
        <v>74.01884262</v>
      </c>
      <c r="F7" s="8" t="n">
        <f aca="false">$L$5*E6+$L$6*F6+$L$7+D7</f>
        <v>33.696198924</v>
      </c>
      <c r="G7" s="8" t="n">
        <f aca="false">ABS(F7-C7)</f>
        <v>1.39529067600001</v>
      </c>
      <c r="H7" s="6" t="n">
        <f aca="false">IF(G7&gt;$L$9,1,0)</f>
        <v>0</v>
      </c>
      <c r="I7" s="8" t="n">
        <f aca="false">G7^2</f>
        <v>1.94683607053256</v>
      </c>
      <c r="K7" s="6" t="s">
        <v>21</v>
      </c>
      <c r="L7" s="9" t="n">
        <v>2</v>
      </c>
    </row>
    <row r="8" customFormat="false" ht="15" hidden="false" customHeight="false" outlineLevel="0" collapsed="false">
      <c r="A8" s="6" t="n">
        <v>6</v>
      </c>
      <c r="B8" s="8" t="n">
        <f aca="false">$L$2*B7+$L$3*C7+$L$4</f>
        <v>77.30447152</v>
      </c>
      <c r="C8" s="8" t="n">
        <f aca="false">$L$5*B7+$L$6*C7+$L$7</f>
        <v>34.49226992</v>
      </c>
      <c r="D8" s="7" t="n">
        <v>2.2657</v>
      </c>
      <c r="E8" s="8" t="n">
        <f aca="false">$L$2*E7+$L$3*F7+$L$4</f>
        <v>77.3561981428</v>
      </c>
      <c r="F8" s="8" t="n">
        <f aca="false">$L$5*E7+$L$6*F7+$L$7+D8</f>
        <v>35.6637896964</v>
      </c>
      <c r="G8" s="8" t="n">
        <f aca="false">ABS(F8-C8)</f>
        <v>1.17151977639999</v>
      </c>
      <c r="H8" s="6" t="n">
        <f aca="false">IF(G8&gt;$L$9,1,0)</f>
        <v>0</v>
      </c>
      <c r="I8" s="8" t="n">
        <f aca="false">G8^2</f>
        <v>1.37245858649628</v>
      </c>
      <c r="K8" s="6" t="s">
        <v>22</v>
      </c>
      <c r="L8" s="9" t="n">
        <v>25</v>
      </c>
    </row>
    <row r="9" customFormat="false" ht="15" hidden="false" customHeight="false" outlineLevel="0" collapsed="false">
      <c r="A9" s="6" t="n">
        <v>7</v>
      </c>
      <c r="B9" s="8" t="n">
        <f aca="false">$L$2*B8+$L$3*C8+$L$4</f>
        <v>80.472478352</v>
      </c>
      <c r="C9" s="8" t="n">
        <f aca="false">$L$5*B8+$L$6*C8+$L$7</f>
        <v>34.2320842272</v>
      </c>
      <c r="D9" s="7" t="n">
        <v>1.0514</v>
      </c>
      <c r="E9" s="8" t="n">
        <f aca="false">$L$2*E8+$L$3*F8+$L$4</f>
        <v>80.7533362678</v>
      </c>
      <c r="F9" s="8" t="n">
        <f aca="false">$L$5*E8+$L$6*F8+$L$7+D9</f>
        <v>36.223803645688</v>
      </c>
      <c r="G9" s="8" t="n">
        <f aca="false">ABS(F9-C9)</f>
        <v>1.991719418488</v>
      </c>
      <c r="H9" s="6" t="n">
        <f aca="false">IF(G9&gt;$L$9,1,0)</f>
        <v>0</v>
      </c>
      <c r="I9" s="8" t="n">
        <f aca="false">G9^2</f>
        <v>3.96694624198216</v>
      </c>
      <c r="K9" s="6" t="s">
        <v>23</v>
      </c>
      <c r="L9" s="9" t="n">
        <v>3</v>
      </c>
    </row>
    <row r="10" customFormat="false" ht="15" hidden="false" customHeight="false" outlineLevel="0" collapsed="false">
      <c r="A10" s="6" t="n">
        <v>8</v>
      </c>
      <c r="B10" s="8" t="n">
        <f aca="false">$L$2*B9+$L$3*C9+$L$4</f>
        <v>83.27164736224</v>
      </c>
      <c r="C10" s="8" t="n">
        <f aca="false">$L$5*B9+$L$6*C9+$L$7</f>
        <v>34.21401608288</v>
      </c>
      <c r="D10" s="7" t="n">
        <v>0.6913</v>
      </c>
      <c r="E10" s="8" t="n">
        <f aca="false">$L$2*E9+$L$3*F9+$L$4</f>
        <v>83.9227633701576</v>
      </c>
      <c r="F10" s="8" t="n">
        <f aca="false">$L$5*E9+$L$6*F9+$L$7+D10</f>
        <v>36.5155430926184</v>
      </c>
      <c r="G10" s="8" t="n">
        <f aca="false">ABS(F10-C10)</f>
        <v>2.30152700973839</v>
      </c>
      <c r="H10" s="6" t="n">
        <f aca="false">IF(G10&gt;$L$9,1,0)</f>
        <v>0</v>
      </c>
      <c r="I10" s="8" t="n">
        <f aca="false">G10^2</f>
        <v>5.29702657655535</v>
      </c>
    </row>
    <row r="11" customFormat="false" ht="15" hidden="false" customHeight="false" outlineLevel="0" collapsed="false">
      <c r="A11" s="6" t="n">
        <v>9</v>
      </c>
      <c r="B11" s="8" t="n">
        <f aca="false">$L$2*B10+$L$3*C10+$L$4</f>
        <v>85.787285842592</v>
      </c>
      <c r="C11" s="8" t="n">
        <f aca="false">$L$5*B10+$L$6*C10+$L$7</f>
        <v>34.3675117080384</v>
      </c>
      <c r="D11" s="7" t="n">
        <v>1.2287</v>
      </c>
      <c r="E11" s="8" t="n">
        <f aca="false">$L$2*E10+$L$3*F10+$L$4</f>
        <v>86.8335956516655</v>
      </c>
      <c r="F11" s="8" t="n">
        <f aca="false">$L$5*E10+$L$6*F10+$L$7+D11</f>
        <v>37.4765002763042</v>
      </c>
      <c r="G11" s="8" t="n">
        <f aca="false">ABS(F11-C11)</f>
        <v>3.10898856826577</v>
      </c>
      <c r="H11" s="6" t="n">
        <f aca="false">IF(G11&gt;$L$9,1,0)</f>
        <v>1</v>
      </c>
      <c r="I11" s="8" t="n">
        <f aca="false">G11^2</f>
        <v>9.66580991760726</v>
      </c>
      <c r="K11" s="6" t="s">
        <v>24</v>
      </c>
      <c r="L11" s="10" t="n">
        <f aca="false">0.5*(L2+L6)+SQRT(0.25*(L2-L6)^2+L3*L5)</f>
        <v>0.970415945787923</v>
      </c>
    </row>
    <row r="12" customFormat="false" ht="15" hidden="false" customHeight="false" outlineLevel="0" collapsed="false">
      <c r="A12" s="6" t="n">
        <v>10</v>
      </c>
      <c r="B12" s="8" t="n">
        <f aca="false">$L$2*B11+$L$3*C11+$L$4</f>
        <v>88.0820595999405</v>
      </c>
      <c r="C12" s="8" t="n">
        <f aca="false">$L$5*B11+$L$6*C11+$L$7</f>
        <v>34.6412465169863</v>
      </c>
      <c r="D12" s="7" t="n">
        <v>-0.3311</v>
      </c>
      <c r="E12" s="8" t="n">
        <f aca="false">$L$2*E11+$L$3*F11+$L$4</f>
        <v>89.6455361417598</v>
      </c>
      <c r="F12" s="8" t="n">
        <f aca="false">$L$5*E11+$L$6*F11+$L$7+D12</f>
        <v>36.8601159601433</v>
      </c>
      <c r="G12" s="8" t="n">
        <f aca="false">ABS(F12-C12)</f>
        <v>2.21886944315703</v>
      </c>
      <c r="H12" s="6" t="n">
        <f aca="false">IF(G12&gt;$L$9,1,0)</f>
        <v>0</v>
      </c>
      <c r="I12" s="8" t="n">
        <f aca="false">G12^2</f>
        <v>4.92338160577597</v>
      </c>
    </row>
    <row r="13" customFormat="false" ht="15" hidden="false" customHeight="false" outlineLevel="0" collapsed="false">
      <c r="A13" s="6" t="n">
        <v>11</v>
      </c>
      <c r="B13" s="8" t="n">
        <f aca="false">$L$2*B12+$L$3*C12+$L$4</f>
        <v>90.2021029433437</v>
      </c>
      <c r="C13" s="8" t="n">
        <f aca="false">$L$5*B12+$L$6*C12+$L$7</f>
        <v>34.9979207895854</v>
      </c>
      <c r="D13" s="7" t="n">
        <v>-0.9874</v>
      </c>
      <c r="E13" s="8" t="n">
        <f aca="false">$L$2*E12+$L$3*F12+$L$4</f>
        <v>92.0530057196125</v>
      </c>
      <c r="F13" s="8" t="n">
        <f aca="false">$L$5*E12+$L$6*F12+$L$7+D13</f>
        <v>35.8794249366202</v>
      </c>
      <c r="G13" s="8" t="n">
        <f aca="false">ABS(F13-C13)</f>
        <v>0.881504147034782</v>
      </c>
      <c r="H13" s="6" t="n">
        <f aca="false">IF(G13&gt;$L$9,1,0)</f>
        <v>0</v>
      </c>
      <c r="I13" s="8" t="n">
        <f aca="false">G13^2</f>
        <v>0.777049561239519</v>
      </c>
    </row>
    <row r="14" customFormat="false" ht="15" hidden="false" customHeight="false" outlineLevel="0" collapsed="false">
      <c r="A14" s="6" t="n">
        <v>12</v>
      </c>
      <c r="B14" s="8" t="n">
        <f aca="false">$L$2*B13+$L$3*C13+$L$4</f>
        <v>92.1814768069264</v>
      </c>
      <c r="C14" s="8" t="n">
        <f aca="false">$L$5*B13+$L$6*C13+$L$7</f>
        <v>35.410462808269</v>
      </c>
      <c r="D14" s="7" t="n">
        <v>0.7519</v>
      </c>
      <c r="E14" s="8" t="n">
        <f aca="false">$L$2*E13+$L$3*F13+$L$4</f>
        <v>94.0235901349753</v>
      </c>
      <c r="F14" s="8" t="n">
        <f aca="false">$L$5*E13+$L$6*F13+$L$7+D14</f>
        <v>36.9786202924729</v>
      </c>
      <c r="G14" s="8" t="n">
        <f aca="false">ABS(F14-C14)</f>
        <v>1.56815748420395</v>
      </c>
      <c r="H14" s="6" t="n">
        <f aca="false">IF(G14&gt;$L$9,1,0)</f>
        <v>0</v>
      </c>
      <c r="I14" s="8" t="n">
        <f aca="false">G14^2</f>
        <v>2.45911789526487</v>
      </c>
    </row>
    <row r="15" customFormat="false" ht="15" hidden="false" customHeight="false" outlineLevel="0" collapsed="false">
      <c r="A15" s="6" t="n">
        <v>13</v>
      </c>
      <c r="B15" s="8" t="n">
        <f aca="false">$L$2*B14+$L$3*C14+$L$4</f>
        <v>94.0454216878876</v>
      </c>
      <c r="C15" s="8" t="n">
        <f aca="false">$L$5*B14+$L$6*C14+$L$7</f>
        <v>35.8592588550308</v>
      </c>
      <c r="D15" s="7" t="n">
        <v>-0.0573</v>
      </c>
      <c r="E15" s="8" t="n">
        <f aca="false">$L$2*E14+$L$3*F14+$L$4</f>
        <v>96.0169551799723</v>
      </c>
      <c r="F15" s="8" t="n">
        <f aca="false">$L$5*E14+$L$6*F14+$L$7+D15</f>
        <v>37.1670116420769</v>
      </c>
      <c r="G15" s="8" t="n">
        <f aca="false">ABS(F15-C15)</f>
        <v>1.30775278704609</v>
      </c>
      <c r="H15" s="6" t="n">
        <f aca="false">IF(G15&gt;$L$9,1,0)</f>
        <v>0</v>
      </c>
      <c r="I15" s="8" t="n">
        <f aca="false">G15^2</f>
        <v>1.71021735202682</v>
      </c>
    </row>
    <row r="16" customFormat="false" ht="15" hidden="false" customHeight="false" outlineLevel="0" collapsed="false">
      <c r="A16" s="6" t="n">
        <v>14</v>
      </c>
      <c r="B16" s="8" t="n">
        <f aca="false">$L$2*B15+$L$3*C15+$L$4</f>
        <v>95.812731290105</v>
      </c>
      <c r="C16" s="8" t="n">
        <f aca="false">$L$5*B15+$L$6*C15+$L$7</f>
        <v>36.3301323852979</v>
      </c>
      <c r="D16" s="7" t="n">
        <v>0.7441</v>
      </c>
      <c r="E16" s="8" t="n">
        <f aca="false">$L$2*E15+$L$3*F15+$L$4</f>
        <v>97.8486619903905</v>
      </c>
      <c r="F16" s="8" t="n">
        <f aca="false">$L$5*E15+$L$6*F15+$L$7+D16</f>
        <v>38.2387266244598</v>
      </c>
      <c r="G16" s="8" t="n">
        <f aca="false">ABS(F16-C16)</f>
        <v>1.90859423916196</v>
      </c>
      <c r="H16" s="6" t="n">
        <f aca="false">IF(G16&gt;$L$9,1,0)</f>
        <v>0</v>
      </c>
      <c r="I16" s="8" t="n">
        <f aca="false">G16^2</f>
        <v>3.64273196976221</v>
      </c>
    </row>
    <row r="17" customFormat="false" ht="15" hidden="false" customHeight="false" outlineLevel="0" collapsed="false">
      <c r="A17" s="6" t="n">
        <v>15</v>
      </c>
      <c r="B17" s="8" t="n">
        <f aca="false">$L$2*B16+$L$3*C16+$L$4</f>
        <v>97.4974846381541</v>
      </c>
      <c r="C17" s="8" t="n">
        <f aca="false">$L$5*B16+$L$6*C16+$L$7</f>
        <v>36.8128697856446</v>
      </c>
      <c r="D17" s="7" t="n">
        <v>-1.55</v>
      </c>
      <c r="E17" s="8" t="n">
        <f aca="false">$L$2*E16+$L$3*F16+$L$4</f>
        <v>99.7115411162434</v>
      </c>
      <c r="F17" s="8" t="n">
        <f aca="false">$L$5*E16+$L$6*F16+$L$7+D17</f>
        <v>36.9119010189913</v>
      </c>
      <c r="G17" s="8" t="n">
        <f aca="false">ABS(F17-C17)</f>
        <v>0.0990312333466932</v>
      </c>
      <c r="H17" s="6" t="n">
        <f aca="false">IF(G17&gt;$L$9,1,0)</f>
        <v>0</v>
      </c>
      <c r="I17" s="8" t="n">
        <f aca="false">G17^2</f>
        <v>0.00980718517816719</v>
      </c>
    </row>
    <row r="18" customFormat="false" ht="15" hidden="false" customHeight="false" outlineLevel="0" collapsed="false">
      <c r="A18" s="6" t="n">
        <v>16</v>
      </c>
      <c r="B18" s="8" t="n">
        <f aca="false">$L$2*B17+$L$3*C17+$L$4</f>
        <v>99.1103101314676</v>
      </c>
      <c r="C18" s="8" t="n">
        <f aca="false">$L$5*B17+$L$6*C17+$L$7</f>
        <v>37.3001449068049</v>
      </c>
      <c r="D18" s="7" t="n">
        <v>1.855</v>
      </c>
      <c r="E18" s="8" t="n">
        <f aca="false">$L$2*E17+$L$3*F17+$L$4</f>
        <v>101.122767208417</v>
      </c>
      <c r="F18" s="8" t="n">
        <f aca="false">$L$5*E17+$L$6*F17+$L$7+D18</f>
        <v>39.3672132821676</v>
      </c>
      <c r="G18" s="8" t="n">
        <f aca="false">ABS(F18-C18)</f>
        <v>2.06706837536272</v>
      </c>
      <c r="H18" s="6" t="n">
        <f aca="false">IF(G18&gt;$L$9,1,0)</f>
        <v>0</v>
      </c>
      <c r="I18" s="8" t="n">
        <f aca="false">G18^2</f>
        <v>4.27277166842466</v>
      </c>
    </row>
    <row r="20" customFormat="false" ht="15" hidden="false" customHeight="false" outlineLevel="0" collapsed="false">
      <c r="A20" s="6" t="s">
        <v>25</v>
      </c>
      <c r="B20" s="10" t="n">
        <f aca="false">MIN(B2:B18)</f>
        <v>40</v>
      </c>
    </row>
    <row r="21" customFormat="false" ht="15" hidden="false" customHeight="false" outlineLevel="0" collapsed="false">
      <c r="A21" s="6" t="s">
        <v>26</v>
      </c>
      <c r="B21" s="10" t="n">
        <f aca="false">COUNTIF(B2:B18,"&lt;"&amp;L8)</f>
        <v>0</v>
      </c>
    </row>
    <row r="22" customFormat="false" ht="15" hidden="false" customHeight="false" outlineLevel="0" collapsed="false">
      <c r="A22" s="6" t="s">
        <v>27</v>
      </c>
      <c r="B22" s="10" t="n">
        <f aca="false">SQRT(AVERAGE(I3:I18))</f>
        <v>1.67801409616347</v>
      </c>
    </row>
    <row r="23" customFormat="false" ht="15" hidden="false" customHeight="false" outlineLevel="0" collapsed="false">
      <c r="A23" s="6" t="s">
        <v>28</v>
      </c>
      <c r="B23" s="10" t="n">
        <f aca="false">MAX(G3:G18)</f>
        <v>3.10898856826577</v>
      </c>
    </row>
    <row r="24" customFormat="false" ht="15" hidden="false" customHeight="false" outlineLevel="0" collapsed="false">
      <c r="A24" s="6" t="s">
        <v>29</v>
      </c>
      <c r="B24" s="10" t="n">
        <f aca="false">MATCH(1,H3:H18,0)</f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5" min="2" style="1" width="12"/>
  </cols>
  <sheetData>
    <row r="1" customFormat="false" ht="15" hidden="false" customHeight="true" outlineLevel="0" collapsed="false">
      <c r="A1" s="11" t="s">
        <v>30</v>
      </c>
      <c r="B1" s="11" t="s">
        <v>31</v>
      </c>
      <c r="C1" s="11" t="s">
        <v>32</v>
      </c>
      <c r="D1" s="11" t="s">
        <v>33</v>
      </c>
      <c r="E1" s="11"/>
    </row>
    <row r="2" customFormat="false" ht="15" hidden="false" customHeight="true" outlineLevel="0" collapsed="false">
      <c r="A2" s="3" t="s">
        <v>34</v>
      </c>
      <c r="B2" s="12" t="n">
        <v>40</v>
      </c>
      <c r="C2" s="12" t="n">
        <v>30</v>
      </c>
      <c r="D2" s="12" t="n">
        <v>20</v>
      </c>
    </row>
    <row r="3" customFormat="false" ht="15" hidden="false" customHeight="true" outlineLevel="0" collapsed="false">
      <c r="A3" s="3" t="s">
        <v>35</v>
      </c>
      <c r="B3" s="12" t="n">
        <v>0.02</v>
      </c>
      <c r="C3" s="12" t="n">
        <v>0.06</v>
      </c>
      <c r="D3" s="12" t="n">
        <v>0.1</v>
      </c>
    </row>
    <row r="4" customFormat="false" ht="15" hidden="false" customHeight="true" outlineLevel="0" collapsed="false">
      <c r="A4" s="3" t="s">
        <v>36</v>
      </c>
      <c r="B4" s="12" t="n">
        <v>0.3</v>
      </c>
      <c r="C4" s="12" t="n">
        <v>0.4</v>
      </c>
      <c r="D4" s="12" t="n">
        <v>0.3</v>
      </c>
    </row>
    <row r="5" customFormat="false" ht="15" hidden="false" customHeight="true" outlineLevel="0" collapsed="false">
      <c r="A5" s="3" t="s">
        <v>37</v>
      </c>
      <c r="B5" s="12" t="n">
        <v>6</v>
      </c>
      <c r="C5" s="12" t="n">
        <v>10</v>
      </c>
    </row>
    <row r="7" customFormat="false" ht="15" hidden="false" customHeight="true" outlineLevel="0" collapsed="false">
      <c r="A7" s="2" t="s">
        <v>38</v>
      </c>
      <c r="B7" s="13" t="n">
        <f aca="false">B2*(1-B3)</f>
        <v>39.2</v>
      </c>
      <c r="C7" s="13" t="n">
        <f aca="false">C2*(1-C3)</f>
        <v>28.2</v>
      </c>
      <c r="D7" s="13" t="n">
        <f aca="false">D2*(1-D3)</f>
        <v>18</v>
      </c>
    </row>
    <row r="8" customFormat="false" ht="15" hidden="false" customHeight="true" outlineLevel="0" collapsed="false">
      <c r="A8" s="3" t="s">
        <v>39</v>
      </c>
      <c r="B8" s="13" t="n">
        <f aca="false">C7+D7+B5</f>
        <v>52.2</v>
      </c>
      <c r="C8" s="13" t="n">
        <f aca="false">C4/(C4+D4)*B8</f>
        <v>29.8285714285714</v>
      </c>
      <c r="D8" s="13" t="n">
        <f aca="false">D4/(C4+D4)*B8</f>
        <v>22.3714285714286</v>
      </c>
    </row>
    <row r="9" customFormat="false" ht="15" hidden="false" customHeight="true" outlineLevel="0" collapsed="false">
      <c r="A9" s="2" t="s">
        <v>40</v>
      </c>
      <c r="B9" s="14" t="n">
        <f aca="false">C5*B7^B4*C8^C4*D8^D4</f>
        <v>296.993481326039</v>
      </c>
    </row>
    <row r="10" customFormat="false" ht="15" hidden="false" customHeight="true" outlineLevel="0" collapsed="false">
      <c r="A10" s="3" t="s">
        <v>41</v>
      </c>
      <c r="B10" s="14" t="n">
        <f aca="false">(C4/C8)/(D4/D8)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4"/>
    <col collapsed="false" customWidth="true" hidden="false" outlineLevel="0" max="3" min="3" style="1" width="10"/>
  </cols>
  <sheetData>
    <row r="1" customFormat="false" ht="15" hidden="false" customHeight="true" outlineLevel="0" collapsed="false">
      <c r="A1" s="11" t="s">
        <v>42</v>
      </c>
      <c r="B1" s="11" t="s">
        <v>43</v>
      </c>
      <c r="C1" s="11" t="s">
        <v>44</v>
      </c>
    </row>
    <row r="2" customFormat="false" ht="15" hidden="false" customHeight="true" outlineLevel="0" collapsed="false">
      <c r="A2" s="3" t="s">
        <v>45</v>
      </c>
      <c r="B2" s="13" t="n">
        <f aca="false">Twin!L11</f>
        <v>0.970415945787923</v>
      </c>
      <c r="C2" s="2" t="n">
        <f aca="false">IF(B2&lt;1,1,0)</f>
        <v>1</v>
      </c>
    </row>
    <row r="3" customFormat="false" ht="15" hidden="false" customHeight="true" outlineLevel="0" collapsed="false">
      <c r="A3" s="3" t="s">
        <v>46</v>
      </c>
      <c r="B3" s="13" t="n">
        <f aca="false">Twin!B20</f>
        <v>40</v>
      </c>
      <c r="C3" s="2" t="n">
        <f aca="false">IF(B3&gt;=Twin!L8,1,0)</f>
        <v>1</v>
      </c>
    </row>
    <row r="4" customFormat="false" ht="15" hidden="false" customHeight="true" outlineLevel="0" collapsed="false">
      <c r="A4" s="3" t="s">
        <v>47</v>
      </c>
      <c r="B4" s="13" t="n">
        <f aca="false">SUM(GEOP_Recall!B4:D4)</f>
        <v>1</v>
      </c>
      <c r="C4" s="2" t="n">
        <f aca="false">IF(ABS(B4-1)&lt;0.000001,1,0)</f>
        <v>1</v>
      </c>
    </row>
    <row r="5" customFormat="false" ht="15" hidden="false" customHeight="true" outlineLevel="0" collapsed="false">
      <c r="A5" s="3" t="s">
        <v>48</v>
      </c>
      <c r="B5" s="13" t="n">
        <f aca="false">GEOP_Recall!B10</f>
        <v>1</v>
      </c>
      <c r="C5" s="2" t="n">
        <f aca="false">IF(ABS(B5-1)&lt;0.000001,1,0)</f>
        <v>1</v>
      </c>
    </row>
    <row r="7" customFormat="false" ht="15" hidden="false" customHeight="true" outlineLevel="0" collapsed="false">
      <c r="A7" s="2" t="s">
        <v>49</v>
      </c>
      <c r="B7" s="2" t="n">
        <f aca="false">SUM(C2:C5)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11" t="s">
        <v>50</v>
      </c>
      <c r="B1" s="11" t="s">
        <v>51</v>
      </c>
      <c r="C1" s="11" t="s">
        <v>52</v>
      </c>
    </row>
    <row r="2" customFormat="false" ht="15" hidden="false" customHeight="true" outlineLevel="0" collapsed="false">
      <c r="A2" s="3" t="s">
        <v>53</v>
      </c>
      <c r="B2" s="15" t="n">
        <v>296.9935</v>
      </c>
      <c r="C2" s="3" t="s">
        <v>54</v>
      </c>
    </row>
    <row r="3" customFormat="false" ht="15" hidden="false" customHeight="true" outlineLevel="0" collapsed="false">
      <c r="A3" s="3" t="s">
        <v>55</v>
      </c>
      <c r="B3" s="15" t="n">
        <v>0.9704</v>
      </c>
      <c r="C3" s="3" t="s">
        <v>56</v>
      </c>
    </row>
    <row r="4" customFormat="false" ht="15" hidden="false" customHeight="true" outlineLevel="0" collapsed="false">
      <c r="A4" s="3" t="s">
        <v>57</v>
      </c>
      <c r="B4" s="15" t="n">
        <v>40</v>
      </c>
      <c r="C4" s="3" t="s">
        <v>58</v>
      </c>
    </row>
    <row r="5" customFormat="false" ht="15" hidden="false" customHeight="true" outlineLevel="0" collapsed="false">
      <c r="A5" s="3" t="s">
        <v>59</v>
      </c>
      <c r="B5" s="15" t="n">
        <v>0</v>
      </c>
      <c r="C5" s="3" t="s">
        <v>60</v>
      </c>
    </row>
    <row r="6" customFormat="false" ht="15" hidden="false" customHeight="true" outlineLevel="0" collapsed="false">
      <c r="A6" s="3" t="s">
        <v>61</v>
      </c>
      <c r="B6" s="15" t="n">
        <v>1.678</v>
      </c>
      <c r="C6" s="3" t="s">
        <v>62</v>
      </c>
    </row>
    <row r="7" customFormat="false" ht="15" hidden="false" customHeight="true" outlineLevel="0" collapsed="false">
      <c r="A7" s="3" t="s">
        <v>63</v>
      </c>
      <c r="B7" s="15" t="n">
        <v>9</v>
      </c>
      <c r="C7" s="3" t="s">
        <v>64</v>
      </c>
    </row>
    <row r="8" customFormat="false" ht="15" hidden="false" customHeight="true" outlineLevel="0" collapsed="false">
      <c r="A8" s="3" t="s">
        <v>65</v>
      </c>
      <c r="B8" s="15" t="n">
        <v>3.109</v>
      </c>
      <c r="C8" s="3" t="s">
        <v>66</v>
      </c>
    </row>
    <row r="9" customFormat="false" ht="15" hidden="false" customHeight="true" outlineLevel="0" collapsed="false">
      <c r="A9" s="3" t="s">
        <v>67</v>
      </c>
      <c r="B9" s="15" t="n">
        <v>4</v>
      </c>
      <c r="C9" s="3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11" t="s">
        <v>50</v>
      </c>
      <c r="B1" s="11" t="s">
        <v>69</v>
      </c>
      <c r="C1" s="11" t="s">
        <v>51</v>
      </c>
      <c r="D1" s="11" t="s">
        <v>70</v>
      </c>
      <c r="E1" s="11" t="s">
        <v>71</v>
      </c>
    </row>
    <row r="2" customFormat="false" ht="15" hidden="false" customHeight="true" outlineLevel="0" collapsed="false">
      <c r="A2" s="3" t="s">
        <v>53</v>
      </c>
      <c r="B2" s="13" t="n">
        <f aca="false">GEOP_Recall!B9</f>
        <v>296.993481326039</v>
      </c>
      <c r="C2" s="13" t="n">
        <f aca="false">Reference_Values!B2</f>
        <v>296.9935</v>
      </c>
      <c r="D2" s="3" t="n">
        <f aca="false">ABS(B2-C2)</f>
        <v>1.86739607670461E-005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55</v>
      </c>
      <c r="B3" s="13" t="n">
        <f aca="false">Twin!L11</f>
        <v>0.970415945787923</v>
      </c>
      <c r="C3" s="13" t="n">
        <f aca="false">Reference_Values!B3</f>
        <v>0.9704</v>
      </c>
      <c r="D3" s="3" t="n">
        <f aca="false">ABS(B3-C3)</f>
        <v>1.59457879229663E-005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57</v>
      </c>
      <c r="B4" s="13" t="n">
        <f aca="false">Twin!B20</f>
        <v>40</v>
      </c>
      <c r="C4" s="13" t="n">
        <f aca="false">Reference_Values!B4</f>
        <v>40</v>
      </c>
      <c r="D4" s="3" t="n">
        <f aca="false">ABS(B4-C4)</f>
        <v>0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59</v>
      </c>
      <c r="B5" s="13" t="n">
        <f aca="false">Twin!B21</f>
        <v>0</v>
      </c>
      <c r="C5" s="13" t="n">
        <f aca="false">Reference_Values!B5</f>
        <v>0</v>
      </c>
      <c r="D5" s="3" t="n">
        <f aca="false">ABS(B5-C5)</f>
        <v>0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61</v>
      </c>
      <c r="B6" s="13" t="n">
        <f aca="false">Twin!B22</f>
        <v>1.67801409616347</v>
      </c>
      <c r="C6" s="13" t="n">
        <f aca="false">Reference_Values!B6</f>
        <v>1.678</v>
      </c>
      <c r="D6" s="3" t="n">
        <f aca="false">ABS(B6-C6)</f>
        <v>1.40961634722547E-005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63</v>
      </c>
      <c r="B7" s="13" t="n">
        <f aca="false">Twin!B24</f>
        <v>9</v>
      </c>
      <c r="C7" s="13" t="n">
        <f aca="false">Reference_Values!B7</f>
        <v>9</v>
      </c>
      <c r="D7" s="3" t="n">
        <f aca="false">ABS(B7-C7)</f>
        <v>0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65</v>
      </c>
      <c r="B8" s="13" t="n">
        <f aca="false">Twin!B23</f>
        <v>3.10898856826577</v>
      </c>
      <c r="C8" s="13" t="n">
        <f aca="false">Reference_Values!B8</f>
        <v>3.109</v>
      </c>
      <c r="D8" s="3" t="n">
        <f aca="false">ABS(B8-C8)</f>
        <v>1.14317342276848E-005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67</v>
      </c>
      <c r="B9" s="13" t="n">
        <f aca="false">Readiness!B7</f>
        <v>4</v>
      </c>
      <c r="C9" s="13" t="n">
        <f aca="false">Reference_Values!B9</f>
        <v>4</v>
      </c>
      <c r="D9" s="3" t="n">
        <f aca="false">ABS(B9-C9)</f>
        <v>0</v>
      </c>
      <c r="E9" s="2" t="str">
        <f aca="false">IF(D9&lt;0.0005,"PASS","FAIL")</f>
        <v>PASS</v>
      </c>
    </row>
    <row r="11" customFormat="false" ht="15" hidden="false" customHeight="true" outlineLevel="0" collapsed="false">
      <c r="A11" s="3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2026-07-13T23:28:10Z</dcterms:created>
  <dc:creator>openpyxl</dc:creator>
  <dc:description/>
  <dc:language>en-US</dc:language>
  <cp:lastModifiedBy/>
  <dcterms:modified xsi:type="dcterms:W3CDTF">2026-07-13T23:31:33Z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